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<sst xmlns="http://schemas.openxmlformats.org/spreadsheetml/2006/main" count="167" uniqueCount="113">
  <si>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</si>
  <si>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</si>
  <si>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</si>
  <si>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</si>
  <si>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</si>
  <si>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</si>
  <si>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</si>
  <si>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</si>
  <si>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</si>
  <si>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</si>
  <si>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</si>
  <si>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</si>
  <si>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</si>
  <si>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</si>
  <si>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</si>
  <si>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</si>
  <si>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</si>
  <si>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</si>
  <si>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</si>
  <si>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</si>
  <si>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</si>
  <si>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</si>
  <si>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</si>
  <si>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</si>
  <si>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</si>
  <si>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</si>
  <si>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</si>
  <si>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</si>
  <si>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</si>
  <si>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</si>
  <si>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</si>
  <si>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</si>
  <si>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</si>
  <si>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</si>
  <si>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</si>
  <si>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</si>
  <si>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</si>
  <si>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</si>
  <si>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</si>
  <si>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</si>
  <si>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</si>
  <si>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</si>
  <si>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</si>
  <si>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</si>
  <si>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</si>
  <si>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</si>
  <si>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</si>
  <si>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</si>
  <si>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</si>
  <si>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</si>
  <si>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</si>
  <si>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</si>
  <si>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</si>
  <si>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</si>
  <si>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</si>
  <si>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</si>
  <si>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</si>
  <si>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</si>
  <si>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</si>
  <si>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</si>
  <si>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</si>
  <si>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</si>
  <si>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</si>
  <si>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</si>
  <si>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</si>
  <si>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</si>
  <si>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</si>
  <si>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</si>
  <si>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</si>
  <si>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</si>
  <si>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</si>
  <si>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</si>
  <si>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</si>
  <si>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</si>
  <si>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</si>
  <si>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</si>
  <si>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</si>
  <si>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</si>
  <si>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</si>
  <si>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</si>
  <si>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</si>
  <si>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</si>
  <si>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</si>
  <si>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</si>
  <si>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</si>
  <si>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</si>
  <si>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</si>
  <si>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</si>
  <si>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</si>
  <si>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</si>
  <si>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</si>
  <si>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</si>
  <si>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</si>
  <si>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</si>
  <si>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</si>
  <si>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</si>
  <si>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</si>
  <si>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</si>
  <si>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</si>
  <si>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</si>
  <si>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</si>
  <si>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</si>
  <si>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</si>
  <si>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</si>
  <si>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</si>
  <si>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</si>
  <si>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</si>
  <si>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</si>
  <si>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</si>
  <si>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</si>
  <si>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</si>
  <si>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</si>
  <si>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12.04.2019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</si>
</sst>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'!$C$91</c:f>
              <c:numCache>
                <c:ptCount val="1"/>
                <c:pt idx="0">
                  <c:v>208652.8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'!$D$91</c:f>
              <c:numCache>
                <c:ptCount val="1"/>
                <c:pt idx="0">
                  <c:v>59283.40000000001</c:v>
                </c:pt>
              </c:numCache>
            </c:numRef>
          </c:val>
          <c:shape val="box"/>
        </c:ser>
        <c:shape val="box"/>
        <c:axId val="22957332"/>
        <c:axId val="33499509"/>
      </c:bar3DChart>
      <c:catAx>
        <c:axId val="22957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99509"/>
        <c:crosses val="autoZero"/>
        <c:auto val="1"/>
        <c:lblOffset val="100"/>
        <c:tickLblSkip val="1"/>
        <c:noMultiLvlLbl val="0"/>
      </c:catAx>
      <c:valAx>
        <c:axId val="33499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57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257717.2</c:v>
                </c:pt>
              </c:numCache>
            </c:numRef>
          </c:val>
          <c:shape val="box"/>
        </c:ser>
        <c:shape val="box"/>
        <c:axId val="30423822"/>
        <c:axId val="56436255"/>
      </c:bar3DChart>
      <c:catAx>
        <c:axId val="30423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36255"/>
        <c:crosses val="autoZero"/>
        <c:auto val="1"/>
        <c:lblOffset val="100"/>
        <c:tickLblSkip val="1"/>
        <c:noMultiLvlLbl val="0"/>
      </c:catAx>
      <c:valAx>
        <c:axId val="56436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23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109767.69999999995</c:v>
                </c:pt>
              </c:numCache>
            </c:numRef>
          </c:val>
          <c:shape val="box"/>
        </c:ser>
        <c:shape val="box"/>
        <c:axId val="62749928"/>
        <c:axId val="19976105"/>
      </c:bar3DChart>
      <c:catAx>
        <c:axId val="627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76105"/>
        <c:crosses val="autoZero"/>
        <c:auto val="1"/>
        <c:lblOffset val="100"/>
        <c:tickLblSkip val="1"/>
        <c:noMultiLvlLbl val="0"/>
      </c:catAx>
      <c:valAx>
        <c:axId val="19976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9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26954.8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6713.599999999998</c:v>
                </c:pt>
              </c:numCache>
            </c:numRef>
          </c:val>
          <c:shape val="box"/>
        </c:ser>
        <c:shape val="box"/>
        <c:axId val="64896162"/>
        <c:axId val="8093715"/>
      </c:bar3DChart>
      <c:catAx>
        <c:axId val="6489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93715"/>
        <c:crosses val="autoZero"/>
        <c:auto val="1"/>
        <c:lblOffset val="100"/>
        <c:tickLblSkip val="1"/>
        <c:noMultiLvlLbl val="0"/>
      </c:catAx>
      <c:valAx>
        <c:axId val="8093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96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54626.8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10831.000000000002</c:v>
                </c:pt>
              </c:numCache>
            </c:numRef>
          </c:val>
          <c:shape val="box"/>
        </c:ser>
        <c:shape val="box"/>
        <c:axId val="58688572"/>
        <c:axId val="56914269"/>
      </c:bar3DChart>
      <c:catAx>
        <c:axId val="5868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14269"/>
        <c:crosses val="autoZero"/>
        <c:auto val="1"/>
        <c:lblOffset val="100"/>
        <c:tickLblSkip val="2"/>
        <c:noMultiLvlLbl val="0"/>
      </c:catAx>
      <c:valAx>
        <c:axId val="56914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88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1188.2999999999997</c:v>
                </c:pt>
              </c:numCache>
            </c:numRef>
          </c:val>
          <c:shape val="box"/>
        </c:ser>
        <c:shape val="box"/>
        <c:axId val="22887862"/>
        <c:axId val="29539719"/>
      </c:bar3DChart>
      <c:catAx>
        <c:axId val="2288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39719"/>
        <c:crosses val="autoZero"/>
        <c:auto val="1"/>
        <c:lblOffset val="100"/>
        <c:tickLblSkip val="1"/>
        <c:noMultiLvlLbl val="0"/>
      </c:catAx>
      <c:valAx>
        <c:axId val="29539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7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'!$C$96</c:f>
              <c:numCache>
                <c:ptCount val="1"/>
                <c:pt idx="0">
                  <c:v>130047.1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'!$D$96</c:f>
              <c:numCache>
                <c:ptCount val="1"/>
                <c:pt idx="0">
                  <c:v>23825.199999999993</c:v>
                </c:pt>
              </c:numCache>
            </c:numRef>
          </c:val>
          <c:shape val="box"/>
        </c:ser>
        <c:shape val="box"/>
        <c:axId val="6042384"/>
        <c:axId val="8871569"/>
      </c:bar3DChart>
      <c:catAx>
        <c:axId val="604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871569"/>
        <c:crosses val="autoZero"/>
        <c:auto val="1"/>
        <c:lblOffset val="100"/>
        <c:tickLblSkip val="1"/>
        <c:noMultiLvlLbl val="0"/>
      </c:catAx>
      <c:valAx>
        <c:axId val="8871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175"/>
          <c:w val="0.8512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'!$C$91,'аналіз фінансування '!$C$96)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208652.8</c:v>
                </c:pt>
                <c:pt idx="6">
                  <c:v>130047.1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'!$D$91,'аналіз фінансування '!$D$96)</c:f>
              <c:numCache>
                <c:ptCount val="7"/>
                <c:pt idx="0">
                  <c:v>257717.2</c:v>
                </c:pt>
                <c:pt idx="1">
                  <c:v>109767.69999999995</c:v>
                </c:pt>
                <c:pt idx="2">
                  <c:v>6713.599999999998</c:v>
                </c:pt>
                <c:pt idx="3">
                  <c:v>10831.000000000002</c:v>
                </c:pt>
                <c:pt idx="4">
                  <c:v>1188.2999999999997</c:v>
                </c:pt>
                <c:pt idx="5">
                  <c:v>59283.40000000001</c:v>
                </c:pt>
                <c:pt idx="6">
                  <c:v>23825.199999999993</c:v>
                </c:pt>
              </c:numCache>
            </c:numRef>
          </c:val>
          <c:shape val="box"/>
        </c:ser>
        <c:shape val="box"/>
        <c:axId val="35917386"/>
        <c:axId val="34025083"/>
      </c:bar3DChart>
      <c:catAx>
        <c:axId val="3591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25083"/>
        <c:crosses val="autoZero"/>
        <c:auto val="1"/>
        <c:lblOffset val="100"/>
        <c:tickLblSkip val="1"/>
        <c:noMultiLvlLbl val="0"/>
      </c:catAx>
      <c:valAx>
        <c:axId val="34025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7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'!$C$156:$C$161</c:f>
              <c:numCache>
                <c:ptCount val="6"/>
                <c:pt idx="0">
                  <c:v>987414.6</c:v>
                </c:pt>
                <c:pt idx="1">
                  <c:v>125178.8</c:v>
                </c:pt>
                <c:pt idx="2">
                  <c:v>48385.3</c:v>
                </c:pt>
                <c:pt idx="3">
                  <c:v>89947.80000000002</c:v>
                </c:pt>
                <c:pt idx="4">
                  <c:v>122.9</c:v>
                </c:pt>
                <c:pt idx="5">
                  <c:v>1252076.2900000003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'!$D$156:$D$161</c:f>
              <c:numCache>
                <c:ptCount val="6"/>
                <c:pt idx="0">
                  <c:v>267673.1</c:v>
                </c:pt>
                <c:pt idx="1">
                  <c:v>47455.8</c:v>
                </c:pt>
                <c:pt idx="2">
                  <c:v>14889.399999999998</c:v>
                </c:pt>
                <c:pt idx="3">
                  <c:v>19500.9</c:v>
                </c:pt>
                <c:pt idx="4">
                  <c:v>36.599999999999994</c:v>
                </c:pt>
                <c:pt idx="5">
                  <c:v>277498.1999999999</c:v>
                </c:pt>
              </c:numCache>
            </c:numRef>
          </c:val>
          <c:shape val="box"/>
        </c:ser>
        <c:shape val="box"/>
        <c:axId val="60381540"/>
        <c:axId val="19195717"/>
      </c:bar3DChart>
      <c:catAx>
        <c:axId val="6038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95717"/>
        <c:crosses val="autoZero"/>
        <c:auto val="1"/>
        <c:lblOffset val="100"/>
        <c:tickLblSkip val="1"/>
        <c:noMultiLvlLbl val="0"/>
      </c:catAx>
      <c:valAx>
        <c:axId val="19195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81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64" zoomScaleNormal="80" zoomScaleSheetLayoutView="64" workbookViewId="0" topLeftCell="D126">
      <selection activeCell="D149" sqref="D149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</f>
        <v>257717.2</v>
      </c>
      <c r="E6" s="3">
        <f>D6/D155*100</f>
        <v>41.09968200505858</v>
      </c>
      <c r="F6" s="3">
        <f>D6/B6*100</f>
        <v>78.25029801141523</v>
      </c>
      <c r="G6" s="3">
        <f aca="true" t="shared" si="0" ref="G6:G43">D6/C6*100</f>
        <v>28.010233432378822</v>
      </c>
      <c r="H6" s="36">
        <f>B6-D6</f>
        <v>71632.59999999998</v>
      </c>
      <c r="I6" s="36">
        <f aca="true" t="shared" si="1" ref="I6:I43">C6-D6</f>
        <v>662365.0999999999</v>
      </c>
      <c r="J6" s="142"/>
      <c r="L6" s="143">
        <f>H6-H7</f>
        <v>59173.79999999996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12060.7+9623.1+1044.7+273.5+10510.2+12398.6+40.7+10550.7+12514+8.7+10597.9</f>
        <v>79622.79999999999</v>
      </c>
      <c r="E7" s="129">
        <f>D7/D6*100</f>
        <v>30.895415595078628</v>
      </c>
      <c r="F7" s="129">
        <f>D7/B7*100</f>
        <v>86.4698267623499</v>
      </c>
      <c r="G7" s="129">
        <f>D7/C7*100</f>
        <v>26.63331542677701</v>
      </c>
      <c r="H7" s="128">
        <f>B7-D7</f>
        <v>12458.800000000017</v>
      </c>
      <c r="I7" s="128">
        <f t="shared" si="1"/>
        <v>219336.60000000003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20722.3+1.9+16592.9+1044.7+15069.2+2403.3+273.5+14243.2+10510.2+12398.6+19789.8+60.7+23573.1+21765.1+12514+5.3+4.8+8.7+13704.4+10597.9</f>
        <v>195283.59999999998</v>
      </c>
      <c r="E8" s="94">
        <f>D8/D6*100</f>
        <v>75.77437594386403</v>
      </c>
      <c r="F8" s="94">
        <f>D8/B8*100</f>
        <v>82.92677541050713</v>
      </c>
      <c r="G8" s="94">
        <f t="shared" si="0"/>
        <v>26.77163454486181</v>
      </c>
      <c r="H8" s="92">
        <f>B8-D8</f>
        <v>40205.600000000035</v>
      </c>
      <c r="I8" s="92">
        <f t="shared" si="1"/>
        <v>534158.6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16.3+0.9+0.3+8.7+9.7+0.3+0.4</f>
        <v>36.599999999999994</v>
      </c>
      <c r="E9" s="114">
        <f>D9/D6*100</f>
        <v>0.01420161324118064</v>
      </c>
      <c r="F9" s="94">
        <f>D9/B9*100</f>
        <v>70.79303675048354</v>
      </c>
      <c r="G9" s="94">
        <f t="shared" si="0"/>
        <v>34.890371782650135</v>
      </c>
      <c r="H9" s="92">
        <f aca="true" t="shared" si="2" ref="H9:H43">B9-D9</f>
        <v>15.100000000000009</v>
      </c>
      <c r="I9" s="92">
        <f t="shared" si="1"/>
        <v>68.30000000000001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525.8+44.4+601.2+43.3+356.4+55.6+22.2+1183.8+262+357.1+64+47.5+133.7+449.5+46.4+224.9+741.1+480.4+382.5-93.5+0.2+240.3+427.1+446.9+102.1+46+154.6+766.9+945+400+1+1121.4+59+682.9+18.7+363.3+73.4+41.9+403.7+10.1+702.9+518+32.3+798.8</f>
        <v>14284.799999999997</v>
      </c>
      <c r="E10" s="94">
        <f>D10/D6*100</f>
        <v>5.542819804033257</v>
      </c>
      <c r="F10" s="94">
        <f aca="true" t="shared" si="3" ref="F10:F41">D10/B10*100</f>
        <v>74.95985642769433</v>
      </c>
      <c r="G10" s="94">
        <f t="shared" si="0"/>
        <v>32.88412930077946</v>
      </c>
      <c r="H10" s="92">
        <f t="shared" si="2"/>
        <v>4771.800000000001</v>
      </c>
      <c r="I10" s="92">
        <f t="shared" si="1"/>
        <v>29155.000000000007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39.4+1482.5+161.1+446.7+223.7+143.2+2067.6+42+0.7+3077.2+2292.1+4098.5+884.8+1.1+688.8+1267.7+920.8+531.8+2870.4+2522+1076.6+267.2+3290.1+1467.5+255.7+697.1+813.5+565.4+107.9+63.1-5.9+65.1+547.6+206.2+1957.7+517+1972.2+544.3+1550.3+130.4</f>
        <v>39851.09999999999</v>
      </c>
      <c r="E11" s="94">
        <f>D11/D6*100</f>
        <v>15.463112279661578</v>
      </c>
      <c r="F11" s="94">
        <f t="shared" si="3"/>
        <v>67.93677366342135</v>
      </c>
      <c r="G11" s="94">
        <f t="shared" si="0"/>
        <v>40.57152863395309</v>
      </c>
      <c r="H11" s="92">
        <f t="shared" si="2"/>
        <v>18808.000000000007</v>
      </c>
      <c r="I11" s="92">
        <f t="shared" si="1"/>
        <v>58373.20000000001</v>
      </c>
    </row>
    <row r="12" spans="1:9" s="142" customFormat="1" ht="18">
      <c r="A12" s="90" t="s">
        <v>12</v>
      </c>
      <c r="B12" s="112">
        <v>4571</v>
      </c>
      <c r="C12" s="113">
        <f>13016.5-27.3</f>
        <v>12989.2</v>
      </c>
      <c r="D12" s="92">
        <f>134.7+863.6+21+169+134.3+503.1+242.3+376.7+419.7+11.5+196.3+194.7</f>
        <v>3266.8999999999996</v>
      </c>
      <c r="E12" s="94">
        <f>D12/D6*100</f>
        <v>1.2676297895522688</v>
      </c>
      <c r="F12" s="94">
        <f t="shared" si="3"/>
        <v>71.47013782542112</v>
      </c>
      <c r="G12" s="94">
        <f t="shared" si="0"/>
        <v>25.150894589351147</v>
      </c>
      <c r="H12" s="92">
        <f>B12-D12</f>
        <v>1304.1000000000004</v>
      </c>
      <c r="I12" s="92">
        <f t="shared" si="1"/>
        <v>9722.300000000001</v>
      </c>
    </row>
    <row r="13" spans="1:9" s="142" customFormat="1" ht="18.75" thickBot="1">
      <c r="A13" s="90" t="s">
        <v>25</v>
      </c>
      <c r="B13" s="113">
        <f>B6-B8-B9-B10-B11-B12</f>
        <v>11522.19999999999</v>
      </c>
      <c r="C13" s="113">
        <f>C6-C8-C9-C10-C11-C12</f>
        <v>35881.899999999965</v>
      </c>
      <c r="D13" s="113">
        <f>D6-D8-D9-D10-D11-D12</f>
        <v>4994.20000000005</v>
      </c>
      <c r="E13" s="94">
        <f>D13/D6*100</f>
        <v>1.9378605696476796</v>
      </c>
      <c r="F13" s="94">
        <f t="shared" si="3"/>
        <v>43.34415302633225</v>
      </c>
      <c r="G13" s="94">
        <f t="shared" si="0"/>
        <v>13.918437986840315</v>
      </c>
      <c r="H13" s="92">
        <f t="shared" si="2"/>
        <v>6527.99999999994</v>
      </c>
      <c r="I13" s="92">
        <f t="shared" si="1"/>
        <v>30887.699999999917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</f>
        <v>109767.69999999995</v>
      </c>
      <c r="E18" s="3">
        <f>D18/D155*100</f>
        <v>17.505302573622046</v>
      </c>
      <c r="F18" s="3">
        <f>D18/B18*100</f>
        <v>74.73148660020095</v>
      </c>
      <c r="G18" s="3">
        <f t="shared" si="0"/>
        <v>26.26086240881054</v>
      </c>
      <c r="H18" s="36">
        <f>B18-D18</f>
        <v>37115.100000000035</v>
      </c>
      <c r="I18" s="36">
        <f t="shared" si="1"/>
        <v>308222.0000000001</v>
      </c>
      <c r="J18" s="142"/>
      <c r="L18" s="143">
        <f>H18-H19</f>
        <v>31432.800000000032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9880.4+236.6+6921+499.9+9964.9+430.2+258.6+5793.8+50.4+1023.5+21.4+9702.8+983.7+1447.3+3314.6+585.3+0.7+743.9+7774.7+2133.2+803.2</f>
        <v>62570.09999999999</v>
      </c>
      <c r="E19" s="129">
        <f>D19/D18*100</f>
        <v>57.002287558179695</v>
      </c>
      <c r="F19" s="129">
        <f t="shared" si="3"/>
        <v>91.67457847636126</v>
      </c>
      <c r="G19" s="129">
        <f t="shared" si="0"/>
        <v>30.46910266517786</v>
      </c>
      <c r="H19" s="128">
        <f t="shared" si="2"/>
        <v>5682.300000000003</v>
      </c>
      <c r="I19" s="128">
        <f t="shared" si="1"/>
        <v>142785.80000000005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272.6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109767.69999999995</v>
      </c>
      <c r="E25" s="94">
        <f>D25/D18*100</f>
        <v>100</v>
      </c>
      <c r="F25" s="94">
        <f t="shared" si="3"/>
        <v>74.8704387552844</v>
      </c>
      <c r="G25" s="94">
        <f t="shared" si="0"/>
        <v>26.323801776683997</v>
      </c>
      <c r="H25" s="92">
        <f>B25-D25</f>
        <v>36842.50000000003</v>
      </c>
      <c r="I25" s="92">
        <f t="shared" si="1"/>
        <v>307222.6000000001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v>9016.3</v>
      </c>
      <c r="C33" s="35">
        <v>26954.8</v>
      </c>
      <c r="D33" s="38">
        <f>238.4+293+43.5+2+39.3+520.9+174.4+181.2+85.5+20.9+137.9+290.2+173.9+53.1+2.1+1.1+14+954.2-0.1+111.5+189.8+1.9+691.6+343.2+7.5-0.1+137+2.4+142.9+7.4+11.4+645.7+261.4-0.1+185.8+10+194.2+438.5+103.2+2.9</f>
        <v>6713.599999999998</v>
      </c>
      <c r="E33" s="3">
        <f>D33/D155*100</f>
        <v>1.070657391548415</v>
      </c>
      <c r="F33" s="3">
        <f>D33/B33*100</f>
        <v>74.46069895633461</v>
      </c>
      <c r="G33" s="3">
        <f t="shared" si="0"/>
        <v>24.906881149183068</v>
      </c>
      <c r="H33" s="36">
        <f t="shared" si="2"/>
        <v>2302.7000000000016</v>
      </c>
      <c r="I33" s="36">
        <f t="shared" si="1"/>
        <v>20241.2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95.5+254.3+520.9+145.6+77.4+290.2+14+629.4+494.6+11.4+607.6+26.4+384.9+103.2</f>
        <v>3655.4</v>
      </c>
      <c r="E34" s="94">
        <f>D34/D33*100</f>
        <v>54.44768827454721</v>
      </c>
      <c r="F34" s="94">
        <f t="shared" si="3"/>
        <v>79.51534663157207</v>
      </c>
      <c r="G34" s="94">
        <f t="shared" si="0"/>
        <v>25.64149328694286</v>
      </c>
      <c r="H34" s="92">
        <f t="shared" si="2"/>
        <v>941.7000000000003</v>
      </c>
      <c r="I34" s="92">
        <f t="shared" si="1"/>
        <v>10600.4</v>
      </c>
    </row>
    <row r="35" spans="1:9" s="142" customFormat="1" ht="18">
      <c r="A35" s="90" t="s">
        <v>1</v>
      </c>
      <c r="B35" s="112">
        <v>22.5</v>
      </c>
      <c r="C35" s="113">
        <v>87.1</v>
      </c>
      <c r="D35" s="92">
        <f>10+2+7.5</f>
        <v>19.5</v>
      </c>
      <c r="E35" s="94">
        <f>D35/D33*100</f>
        <v>0.2904551954242136</v>
      </c>
      <c r="F35" s="94">
        <f t="shared" si="3"/>
        <v>86.66666666666667</v>
      </c>
      <c r="G35" s="94">
        <f t="shared" si="0"/>
        <v>22.388059701492537</v>
      </c>
      <c r="H35" s="92">
        <f t="shared" si="2"/>
        <v>3</v>
      </c>
      <c r="I35" s="92">
        <f t="shared" si="1"/>
        <v>67.6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1.1+273.8+98.4+76.8+0.5+2.1+0.3+6.6+52.2</f>
        <v>511.8000000000001</v>
      </c>
      <c r="E36" s="94">
        <f>D36/D33*100</f>
        <v>7.623331744518594</v>
      </c>
      <c r="F36" s="94">
        <f t="shared" si="3"/>
        <v>45.52165792048387</v>
      </c>
      <c r="G36" s="94">
        <f t="shared" si="0"/>
        <v>24.513842322061503</v>
      </c>
      <c r="H36" s="92">
        <f t="shared" si="2"/>
        <v>612.4999999999998</v>
      </c>
      <c r="I36" s="92">
        <f t="shared" si="1"/>
        <v>1576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96">
        <f>38.7+2+2.3+2.6+2.1+1.9+12.2+7.5+2.4+10</f>
        <v>81.7</v>
      </c>
      <c r="E37" s="99">
        <f>D37/D33*100</f>
        <v>1.2169327931363207</v>
      </c>
      <c r="F37" s="99">
        <f t="shared" si="3"/>
        <v>34.914529914529915</v>
      </c>
      <c r="G37" s="99">
        <f t="shared" si="0"/>
        <v>7.546646961019768</v>
      </c>
      <c r="H37" s="96">
        <f t="shared" si="2"/>
        <v>152.3</v>
      </c>
      <c r="I37" s="96">
        <f t="shared" si="1"/>
        <v>1000.8999999999999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0.7596520495710203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2961.699999999999</v>
      </c>
      <c r="C39" s="112">
        <f>C33-C34-C36-C37-C35-C38</f>
        <v>9210.9</v>
      </c>
      <c r="D39" s="112">
        <f>D33-D34-D36-D37-D35-D38</f>
        <v>2394.1999999999975</v>
      </c>
      <c r="E39" s="94">
        <f>D39/D33*100</f>
        <v>35.66193994280265</v>
      </c>
      <c r="F39" s="94">
        <f t="shared" si="3"/>
        <v>80.83870749907143</v>
      </c>
      <c r="G39" s="94">
        <f t="shared" si="0"/>
        <v>25.99311685068775</v>
      </c>
      <c r="H39" s="92">
        <f>B39-D39</f>
        <v>567.5000000000014</v>
      </c>
      <c r="I39" s="92">
        <f t="shared" si="1"/>
        <v>6816.700000000003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18+9.7+7.2+11.6+18.4+18.7+25.1+13.5+2.2+2+16.6+22.9+12+21</f>
        <v>198.90000000000003</v>
      </c>
      <c r="E43" s="3">
        <f>D43/D155*100</f>
        <v>0.031719756193246525</v>
      </c>
      <c r="F43" s="3">
        <f>D43/B43*100</f>
        <v>64.78827361563519</v>
      </c>
      <c r="G43" s="3">
        <f t="shared" si="0"/>
        <v>20.293847566574843</v>
      </c>
      <c r="H43" s="36">
        <f t="shared" si="2"/>
        <v>108.09999999999997</v>
      </c>
      <c r="I43" s="36">
        <f t="shared" si="1"/>
        <v>781.2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56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346.4+682.6-0.1+14.1+556.7+0.1+721.1+127.1+71.4+15.4+390.3+13.9+56.1+905.8+4.8+61.3+2.9+439.8</f>
        <v>4409.700000000001</v>
      </c>
      <c r="E46" s="3">
        <f>D46/D155*100</f>
        <v>0.703240869207437</v>
      </c>
      <c r="F46" s="3">
        <f>D46/B46*100</f>
        <v>78.45882855312792</v>
      </c>
      <c r="G46" s="3">
        <f aca="true" t="shared" si="4" ref="G46:G77">D46/C46*100</f>
        <v>26.338989732470843</v>
      </c>
      <c r="H46" s="36">
        <f>B46-D46</f>
        <v>1210.699999999999</v>
      </c>
      <c r="I46" s="36">
        <f aca="true" t="shared" si="5" ref="I46:I78">C46-D46</f>
        <v>12332.399999999998</v>
      </c>
      <c r="J46" s="142"/>
      <c r="K46" s="156"/>
    </row>
    <row r="47" spans="1:11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332.5+633.1+14.1+510.1+691.2+14.1+377.2-0.1+896.5+425</f>
        <v>3893.7</v>
      </c>
      <c r="E47" s="94">
        <f>D47/D46*100</f>
        <v>88.29852370909583</v>
      </c>
      <c r="F47" s="94">
        <f aca="true" t="shared" si="6" ref="F47:F75">D47/B47*100</f>
        <v>80.01520693765156</v>
      </c>
      <c r="G47" s="94">
        <f t="shared" si="4"/>
        <v>25.49751488124472</v>
      </c>
      <c r="H47" s="92">
        <f aca="true" t="shared" si="7" ref="H47:H75">B47-D47</f>
        <v>972.5</v>
      </c>
      <c r="I47" s="92">
        <f t="shared" si="5"/>
        <v>11377.2</v>
      </c>
      <c r="K47" s="156"/>
    </row>
    <row r="48" spans="1:11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K48" s="156"/>
    </row>
    <row r="49" spans="1:11" s="142" customFormat="1" ht="18">
      <c r="A49" s="90" t="s">
        <v>1</v>
      </c>
      <c r="B49" s="112">
        <v>31.5</v>
      </c>
      <c r="C49" s="113">
        <v>106.3</v>
      </c>
      <c r="D49" s="92">
        <f>8.3+10.5+10.2</f>
        <v>29</v>
      </c>
      <c r="E49" s="94">
        <f>D49/D46*100</f>
        <v>0.6576411093725196</v>
      </c>
      <c r="F49" s="94">
        <f t="shared" si="6"/>
        <v>92.06349206349206</v>
      </c>
      <c r="G49" s="94">
        <f t="shared" si="4"/>
        <v>27.281279397930387</v>
      </c>
      <c r="H49" s="92">
        <f t="shared" si="7"/>
        <v>2.5</v>
      </c>
      <c r="I49" s="92">
        <f t="shared" si="5"/>
        <v>77.3</v>
      </c>
      <c r="K49" s="156"/>
    </row>
    <row r="50" spans="1:11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13.9+43.7+37.9+3.3+112.6+65.7+2.1+15.6+56.1+2.7+37.7</f>
        <v>391.3</v>
      </c>
      <c r="E50" s="94">
        <f>D50/D46*100</f>
        <v>8.873619520602308</v>
      </c>
      <c r="F50" s="94">
        <f t="shared" si="6"/>
        <v>63.69851863910142</v>
      </c>
      <c r="G50" s="94">
        <f t="shared" si="4"/>
        <v>39.192708333333336</v>
      </c>
      <c r="H50" s="92">
        <f t="shared" si="7"/>
        <v>222.99999999999994</v>
      </c>
      <c r="I50" s="92">
        <f t="shared" si="5"/>
        <v>607.0999999999999</v>
      </c>
      <c r="K50" s="156"/>
    </row>
    <row r="51" spans="1:11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95.7000000000009</v>
      </c>
      <c r="E51" s="94">
        <f>D51/D46*100</f>
        <v>2.170215660929335</v>
      </c>
      <c r="F51" s="94">
        <f t="shared" si="6"/>
        <v>89.02325581395444</v>
      </c>
      <c r="G51" s="94">
        <f t="shared" si="4"/>
        <v>26.2263633872297</v>
      </c>
      <c r="H51" s="92">
        <f t="shared" si="7"/>
        <v>11.79999999999896</v>
      </c>
      <c r="I51" s="92">
        <f t="shared" si="5"/>
        <v>269.199999999998</v>
      </c>
      <c r="K51" s="156"/>
    </row>
    <row r="52" spans="1:10" ht="18.75" thickBot="1">
      <c r="A52" s="18" t="s">
        <v>4</v>
      </c>
      <c r="B52" s="34">
        <v>18755.4</v>
      </c>
      <c r="C52" s="35">
        <v>54626.8</v>
      </c>
      <c r="D52" s="36">
        <f>721.7+145.3+5+112.8+1132.7+7.6+9.6+17.1+0.3+1056.5+185.3+56.2+95+1327.2+403.4+2.3+70.2+233.5+966+52.7+123+9.9-0.1+532.2+8.3+75.6+313.4+1771.2+5.9+0.1+98.2+182.6+0.5+835.2+180.6+94</f>
        <v>10831.000000000002</v>
      </c>
      <c r="E52" s="3">
        <f>D52/D155*100</f>
        <v>1.727283455651348</v>
      </c>
      <c r="F52" s="3">
        <f>D52/B52*100</f>
        <v>57.74870170724166</v>
      </c>
      <c r="G52" s="3">
        <f t="shared" si="4"/>
        <v>19.82726427321388</v>
      </c>
      <c r="H52" s="36">
        <f>B52-D52</f>
        <v>7924.4</v>
      </c>
      <c r="I52" s="36">
        <f t="shared" si="5"/>
        <v>43795.8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721.7+980.4+865.2+984.4+270.7+792.3+9.9+66.7+1210.9+835.2</f>
        <v>6737.399999999999</v>
      </c>
      <c r="E53" s="94">
        <f>D53/D52*100</f>
        <v>62.204782568553206</v>
      </c>
      <c r="F53" s="94">
        <f t="shared" si="6"/>
        <v>74.50238853503183</v>
      </c>
      <c r="G53" s="94">
        <f t="shared" si="4"/>
        <v>25.953104595934494</v>
      </c>
      <c r="H53" s="92">
        <f t="shared" si="7"/>
        <v>2305.800000000002</v>
      </c>
      <c r="I53" s="92">
        <f t="shared" si="5"/>
        <v>19222.500000000004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3.2+7.6+9.6+11.4+10.1+24.7+6.6+7.8+2.3+6.6+70.1+102.1+3.2+185.8+105</f>
        <v>556.0999999999999</v>
      </c>
      <c r="E55" s="94">
        <f>D55/D52*100</f>
        <v>5.134336626350289</v>
      </c>
      <c r="F55" s="94">
        <f t="shared" si="6"/>
        <v>37.39241527703066</v>
      </c>
      <c r="G55" s="94">
        <f t="shared" si="4"/>
        <v>12.836730454052303</v>
      </c>
      <c r="H55" s="92">
        <f t="shared" si="7"/>
        <v>931.1000000000001</v>
      </c>
      <c r="I55" s="92">
        <f t="shared" si="5"/>
        <v>3776.0000000000005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0.3+1.2+21.4+80.5+2.4+14.5+22.9+268+5.9+0.1+8.8+0.5+18.5</f>
        <v>445.00000000000006</v>
      </c>
      <c r="E56" s="94">
        <f>D56/D52*100</f>
        <v>4.108577232019204</v>
      </c>
      <c r="F56" s="94">
        <f t="shared" si="6"/>
        <v>65.3163070600323</v>
      </c>
      <c r="G56" s="94">
        <f t="shared" si="4"/>
        <v>31.636570453576006</v>
      </c>
      <c r="H56" s="92">
        <f t="shared" si="7"/>
        <v>236.2999999999999</v>
      </c>
      <c r="I56" s="92">
        <f t="shared" si="5"/>
        <v>961.5999999999999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</f>
        <v>469</v>
      </c>
      <c r="E57" s="94">
        <f>D57/D52*100</f>
        <v>4.3301634198134975</v>
      </c>
      <c r="F57" s="94">
        <f>D57/B57*100</f>
        <v>32.21153846153847</v>
      </c>
      <c r="G57" s="94">
        <f>D57/C57*100</f>
        <v>10.107758620689655</v>
      </c>
      <c r="H57" s="92">
        <f t="shared" si="7"/>
        <v>987</v>
      </c>
      <c r="I57" s="92">
        <f t="shared" si="5"/>
        <v>4171</v>
      </c>
    </row>
    <row r="58" spans="1:9" s="142" customFormat="1" ht="18.75" thickBot="1">
      <c r="A58" s="90" t="s">
        <v>25</v>
      </c>
      <c r="B58" s="113">
        <f>B52-B53-B56-B55-B54-B57</f>
        <v>6087.700000000002</v>
      </c>
      <c r="C58" s="113">
        <f>C52-C53-C56-C55-C54-C57</f>
        <v>18271.800000000003</v>
      </c>
      <c r="D58" s="113">
        <f>D52-D53-D56-D55-D54-D57</f>
        <v>2623.500000000003</v>
      </c>
      <c r="E58" s="94">
        <f>D58/D52*100</f>
        <v>24.222140153263805</v>
      </c>
      <c r="F58" s="94">
        <f t="shared" si="6"/>
        <v>43.095093385022295</v>
      </c>
      <c r="G58" s="94">
        <f t="shared" si="4"/>
        <v>14.358191311200882</v>
      </c>
      <c r="H58" s="92">
        <f>B58-D58</f>
        <v>3464.1999999999985</v>
      </c>
      <c r="I58" s="92">
        <f>C58-D58</f>
        <v>15648.3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80.6+106+88.7+4.1+0.3+50.7+49.2+44+180.6+100.8+125+0.6+0.8+205.4-0.2+30.8+60.6+59.8+0.5</f>
        <v>1188.2999999999997</v>
      </c>
      <c r="E60" s="3">
        <f>D60/D155*100</f>
        <v>0.18950521007760096</v>
      </c>
      <c r="F60" s="3">
        <f>D60/B60*100</f>
        <v>72.89736825961596</v>
      </c>
      <c r="G60" s="3">
        <f t="shared" si="4"/>
        <v>11.57228417003457</v>
      </c>
      <c r="H60" s="36">
        <f>B60-D60</f>
        <v>441.8000000000002</v>
      </c>
      <c r="I60" s="36">
        <f t="shared" si="5"/>
        <v>9080.2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80.6+106+88.7+4.1+50.7+38.1+180.6+95.6+203.1+54.2+59.8</f>
        <v>961.5000000000001</v>
      </c>
      <c r="E61" s="94">
        <f>D61/D60*100</f>
        <v>80.91391062862915</v>
      </c>
      <c r="F61" s="94">
        <f t="shared" si="6"/>
        <v>82.1654418048197</v>
      </c>
      <c r="G61" s="94">
        <f t="shared" si="4"/>
        <v>26.510242907165903</v>
      </c>
      <c r="H61" s="92">
        <f t="shared" si="7"/>
        <v>208.69999999999993</v>
      </c>
      <c r="I61" s="92">
        <f t="shared" si="5"/>
        <v>2665.4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9.6+44+118.7+0.1+30.8+0.2</f>
        <v>203.4</v>
      </c>
      <c r="E63" s="94">
        <f>D63/D60*100</f>
        <v>17.11688967432467</v>
      </c>
      <c r="F63" s="94">
        <f t="shared" si="6"/>
        <v>68.1178834561286</v>
      </c>
      <c r="G63" s="94">
        <f t="shared" si="4"/>
        <v>42.794024826425414</v>
      </c>
      <c r="H63" s="92">
        <f t="shared" si="7"/>
        <v>95.20000000000002</v>
      </c>
      <c r="I63" s="92">
        <f t="shared" si="5"/>
        <v>271.9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23.399999999999608</v>
      </c>
      <c r="E65" s="94">
        <f>D65/D60*100</f>
        <v>1.969199697046168</v>
      </c>
      <c r="F65" s="94">
        <f t="shared" si="6"/>
        <v>14.507129572225438</v>
      </c>
      <c r="G65" s="94">
        <f t="shared" si="4"/>
        <v>2.606951871657709</v>
      </c>
      <c r="H65" s="92">
        <f t="shared" si="7"/>
        <v>137.90000000000023</v>
      </c>
      <c r="I65" s="92">
        <f t="shared" si="5"/>
        <v>874.2000000000007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278.8</v>
      </c>
      <c r="C70" s="35">
        <f>C71+C72</f>
        <v>517.7</v>
      </c>
      <c r="D70" s="36">
        <f>D71+D72</f>
        <v>174.3</v>
      </c>
      <c r="E70" s="27">
        <f>D70/D155*100</f>
        <v>0.02779664909242267</v>
      </c>
      <c r="F70" s="3">
        <f>D70/B70*100</f>
        <v>62.517934002869445</v>
      </c>
      <c r="G70" s="3">
        <f t="shared" si="4"/>
        <v>33.66814757581611</v>
      </c>
      <c r="H70" s="36">
        <f>B70-D70</f>
        <v>104.5</v>
      </c>
      <c r="I70" s="36">
        <f t="shared" si="5"/>
        <v>343.40000000000003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f>50+117.3</f>
        <v>167.3</v>
      </c>
      <c r="E71" s="94">
        <f>D71/D70*100</f>
        <v>95.9839357429719</v>
      </c>
      <c r="F71" s="94">
        <f t="shared" si="6"/>
        <v>76.99033594109525</v>
      </c>
      <c r="G71" s="94">
        <f t="shared" si="4"/>
        <v>76.99033594109525</v>
      </c>
      <c r="H71" s="92">
        <f t="shared" si="7"/>
        <v>50</v>
      </c>
      <c r="I71" s="92">
        <f t="shared" si="5"/>
        <v>50</v>
      </c>
    </row>
    <row r="72" spans="1:9" s="142" customFormat="1" ht="18.75" thickBot="1">
      <c r="A72" s="90" t="s">
        <v>107</v>
      </c>
      <c r="B72" s="112">
        <f>91.8-22.7-7.6</f>
        <v>61.49999999999999</v>
      </c>
      <c r="C72" s="113">
        <f>396.5-65.8-22.7-7.6</f>
        <v>300.4</v>
      </c>
      <c r="D72" s="92">
        <f>0.6+6.4</f>
        <v>7</v>
      </c>
      <c r="E72" s="94">
        <f>D72/D71*100</f>
        <v>4.184100418410042</v>
      </c>
      <c r="F72" s="94">
        <f t="shared" si="6"/>
        <v>11.382113821138212</v>
      </c>
      <c r="G72" s="94">
        <f t="shared" si="4"/>
        <v>2.330226364846871</v>
      </c>
      <c r="H72" s="92">
        <f t="shared" si="7"/>
        <v>54.49999999999999</v>
      </c>
      <c r="I72" s="92">
        <f t="shared" si="5"/>
        <v>293.4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f>3333.3-3233.3</f>
        <v>100</v>
      </c>
      <c r="C78" s="49">
        <f>10000-9900</f>
        <v>100</v>
      </c>
      <c r="D78" s="50"/>
      <c r="E78" s="30"/>
      <c r="F78" s="30"/>
      <c r="G78" s="30"/>
      <c r="H78" s="50">
        <f>B78-D78</f>
        <v>100</v>
      </c>
      <c r="I78" s="50">
        <f t="shared" si="5"/>
        <v>100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v>74175.7</v>
      </c>
      <c r="C91" s="35">
        <f>208452.8+200</f>
        <v>208652.8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</f>
        <v>59283.40000000001</v>
      </c>
      <c r="E91" s="3">
        <f>D91/D155*100</f>
        <v>9.454273475649629</v>
      </c>
      <c r="F91" s="3">
        <f aca="true" t="shared" si="10" ref="F91:F97">D91/B91*100</f>
        <v>79.92293972284725</v>
      </c>
      <c r="G91" s="3">
        <f t="shared" si="8"/>
        <v>28.41246319244219</v>
      </c>
      <c r="H91" s="36">
        <f aca="true" t="shared" si="11" ref="H91:H97">B91-D91</f>
        <v>14892.299999999988</v>
      </c>
      <c r="I91" s="36">
        <f t="shared" si="9"/>
        <v>149369.39999999997</v>
      </c>
      <c r="J91" s="142"/>
    </row>
    <row r="92" spans="1:9" s="142" customFormat="1" ht="21.75" customHeight="1">
      <c r="A92" s="90" t="s">
        <v>3</v>
      </c>
      <c r="B92" s="112">
        <v>69303.9</v>
      </c>
      <c r="C92" s="113">
        <f>195523.2+200</f>
        <v>195723.2</v>
      </c>
      <c r="D92" s="92">
        <f>244+2447.7+2707.4+7.9+32.8+292+16+4.4+487.2+6367.9-0.1+2554.5+39.8+0.3+122+1.4+575.3+1176+3828+1657.6+10+5.7+877.3+7018.3+1997.5+99.9+196.5+40.7+134.2+1.1+1320.5+3625.9+1272.5-0.3+130.1+0.9+1054+1991.7+5764.4+865.1+404.9+294.9+22.6+39.9+14.8+1918.5+2969.6+1796.3</f>
        <v>56429.59999999999</v>
      </c>
      <c r="E92" s="94">
        <f>D92/D91*100</f>
        <v>95.18617353255715</v>
      </c>
      <c r="F92" s="94">
        <f t="shared" si="10"/>
        <v>81.42341195805719</v>
      </c>
      <c r="G92" s="94">
        <f t="shared" si="8"/>
        <v>28.831329142380664</v>
      </c>
      <c r="H92" s="92">
        <f t="shared" si="11"/>
        <v>12874.300000000003</v>
      </c>
      <c r="I92" s="92">
        <f t="shared" si="9"/>
        <v>139293.60000000003</v>
      </c>
    </row>
    <row r="93" spans="1:9" s="142" customFormat="1" ht="18">
      <c r="A93" s="90" t="s">
        <v>23</v>
      </c>
      <c r="B93" s="112">
        <v>1313.2</v>
      </c>
      <c r="C93" s="113">
        <v>2704.7</v>
      </c>
      <c r="D93" s="92">
        <f>56.2+5.4+7.1+340.1+77+0.5+3+170+5.7+0.1+23.6+4.9+3.8+156.9+5.1</f>
        <v>859.4</v>
      </c>
      <c r="E93" s="94">
        <f>D93/D91*100</f>
        <v>1.4496469500737135</v>
      </c>
      <c r="F93" s="94">
        <f t="shared" si="10"/>
        <v>65.44319220225402</v>
      </c>
      <c r="G93" s="94">
        <f t="shared" si="8"/>
        <v>31.774318778422746</v>
      </c>
      <c r="H93" s="92">
        <f t="shared" si="11"/>
        <v>453.80000000000007</v>
      </c>
      <c r="I93" s="92">
        <f t="shared" si="9"/>
        <v>1845.2999999999997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3558.600000000003</v>
      </c>
      <c r="C95" s="113">
        <f>C91-C92-C93-C94</f>
        <v>10224.899999999976</v>
      </c>
      <c r="D95" s="113">
        <f>D91-D92-D93-D94</f>
        <v>1994.4000000000174</v>
      </c>
      <c r="E95" s="94">
        <f>D95/D91*100</f>
        <v>3.3641795173691404</v>
      </c>
      <c r="F95" s="94">
        <f t="shared" si="10"/>
        <v>56.04451188669746</v>
      </c>
      <c r="G95" s="94">
        <f>D95/C95*100</f>
        <v>19.50532523545484</v>
      </c>
      <c r="H95" s="92">
        <f t="shared" si="11"/>
        <v>1564.1999999999857</v>
      </c>
      <c r="I95" s="92">
        <f>C95-D95</f>
        <v>8230.499999999958</v>
      </c>
    </row>
    <row r="96" spans="1:10" ht="18.75">
      <c r="A96" s="75" t="s">
        <v>10</v>
      </c>
      <c r="B96" s="83">
        <f>37189-185.6+44.8-3000</f>
        <v>34048.200000000004</v>
      </c>
      <c r="C96" s="78">
        <f>83543+41100+1904.1+3500</f>
        <v>130047.1</v>
      </c>
      <c r="D96" s="77">
        <f>550.6+16+384.3+525.5+369.8+2.6+13.2+66.6+29.8+815.4+66.6+46.7+1198.1+490.3+154+72.1+121.6+525.1+495.6+452.5+67.7+766.7+27.8+2611.4+110.1+3.8+3.3+441.8+656.5+3.5+157.9+215.4+10546.5+1149.5+25.1+98.2+543.6</f>
        <v>23825.199999999993</v>
      </c>
      <c r="E96" s="74">
        <f>D96/D155*100</f>
        <v>3.799545174737742</v>
      </c>
      <c r="F96" s="76">
        <f t="shared" si="10"/>
        <v>69.97491791049157</v>
      </c>
      <c r="G96" s="73">
        <f>D96/C96*100</f>
        <v>18.32043928699678</v>
      </c>
      <c r="H96" s="77">
        <f t="shared" si="11"/>
        <v>10223.000000000011</v>
      </c>
      <c r="I96" s="79">
        <f>C96-D96</f>
        <v>106221.90000000001</v>
      </c>
      <c r="J96" s="142"/>
    </row>
    <row r="97" spans="1:9" s="142" customFormat="1" ht="18.75" thickBot="1">
      <c r="A97" s="115" t="s">
        <v>81</v>
      </c>
      <c r="B97" s="116">
        <f>6827.4-1000</f>
        <v>5827.4</v>
      </c>
      <c r="C97" s="117">
        <v>16376.6</v>
      </c>
      <c r="D97" s="118">
        <f>101+2.6+598.7+1.6+2603.8+3.8+0.7+1149.5+2.1</f>
        <v>4463.800000000001</v>
      </c>
      <c r="E97" s="119">
        <f>D97/D96*100</f>
        <v>18.73562446485235</v>
      </c>
      <c r="F97" s="120">
        <f t="shared" si="10"/>
        <v>76.60019905961495</v>
      </c>
      <c r="G97" s="121">
        <f>D97/C97*100</f>
        <v>27.257184030873326</v>
      </c>
      <c r="H97" s="122">
        <f t="shared" si="11"/>
        <v>1363.5999999999985</v>
      </c>
      <c r="I97" s="111">
        <f>C97-D97</f>
        <v>11912.8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22511.2+15.1-20+7.6</f>
        <v>22513.899999999998</v>
      </c>
      <c r="C103" s="65">
        <f>73778+7.6+15.1-60.1+7.6</f>
        <v>73748.20000000001</v>
      </c>
      <c r="D103" s="61">
        <f>152.2+12.4+164.7+14+1585.4+13.1+10.2+18+148.6+2141.8+73.9+131.3+1879.3+351.3+97.1+16.6+48.3+0.1+592.9+250.5+1840.9+85.4+148.3-0.2+534.2+1861+58.9+713.5+44.9+41.8+28.7+0.2+244.7+2133+95.9+222.1+227.2</f>
        <v>15982.2</v>
      </c>
      <c r="E103" s="16">
        <f>D103/D155*100</f>
        <v>2.5487757035279266</v>
      </c>
      <c r="F103" s="16">
        <f>D103/B103*100</f>
        <v>70.98814510147065</v>
      </c>
      <c r="G103" s="16">
        <f aca="true" t="shared" si="12" ref="G103:G153">D103/C103*100</f>
        <v>21.671308587870616</v>
      </c>
      <c r="H103" s="61">
        <f aca="true" t="shared" si="13" ref="H103:H153">B103-D103</f>
        <v>6531.699999999997</v>
      </c>
      <c r="I103" s="61">
        <f aca="true" t="shared" si="14" ref="I103:I153">C103-D103</f>
        <v>57766.000000000015</v>
      </c>
      <c r="J103" s="84"/>
    </row>
    <row r="104" spans="1:9" s="142" customFormat="1" ht="18.75" customHeight="1">
      <c r="A104" s="90" t="s">
        <v>3</v>
      </c>
      <c r="B104" s="104">
        <v>108.7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108.7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20095.2+15.1-20+7.6</f>
        <v>20097.899999999998</v>
      </c>
      <c r="C105" s="92">
        <f>65554.9+7.6+15.1-60.1+7.6</f>
        <v>65525.100000000006</v>
      </c>
      <c r="D105" s="92">
        <f>152.1+12.4+164.7+14+1585.4+8+18+148.5+2111.8+73.9+131.3+1879.3+114.9+217.3+66.2+14+0.1+582.9+250.5+1833.3+55+120.2+529.4+1861+47.8+713.5+1.8+35.2+244.7+2133+95.9+222+164.6+40.2</f>
        <v>15642.900000000001</v>
      </c>
      <c r="E105" s="94">
        <f>D105/D103*100</f>
        <v>97.8770131771596</v>
      </c>
      <c r="F105" s="94">
        <f aca="true" t="shared" si="15" ref="F105:F153">D105/B105*100</f>
        <v>77.833504993059</v>
      </c>
      <c r="G105" s="94">
        <f t="shared" si="12"/>
        <v>23.873141742629926</v>
      </c>
      <c r="H105" s="92">
        <f t="shared" si="13"/>
        <v>4454.999999999996</v>
      </c>
      <c r="I105" s="92">
        <f t="shared" si="14"/>
        <v>49882.200000000004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2307.2999999999993</v>
      </c>
      <c r="C107" s="109">
        <f>C103-C104-C105</f>
        <v>7679.5</v>
      </c>
      <c r="D107" s="109">
        <f>D103-D104-D105</f>
        <v>339.2999999999993</v>
      </c>
      <c r="E107" s="110">
        <f>D107/D103*100</f>
        <v>2.122986822840405</v>
      </c>
      <c r="F107" s="110">
        <f t="shared" si="15"/>
        <v>14.705499934988921</v>
      </c>
      <c r="G107" s="110">
        <f t="shared" si="12"/>
        <v>4.418256396900831</v>
      </c>
      <c r="H107" s="111">
        <f t="shared" si="13"/>
        <v>1968</v>
      </c>
      <c r="I107" s="111">
        <f t="shared" si="14"/>
        <v>7340.200000000001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163592.7</v>
      </c>
      <c r="C108" s="63">
        <f>SUM(C109:C152)-C116-C121+C153-C143-C144-C110-C113-C124-C125-C141-C134-C132-C139-C119</f>
        <v>642415.59</v>
      </c>
      <c r="D108" s="63">
        <f>SUM(D109:D152)-D116-D121+D153-D143-D144-D110-D113-D124-D125-D141-D134-D132-D139-D119</f>
        <v>136962.49999999997</v>
      </c>
      <c r="E108" s="64">
        <f>D108/D155*100</f>
        <v>21.84221773563361</v>
      </c>
      <c r="F108" s="64">
        <f>D108/B108*100</f>
        <v>83.72164528123808</v>
      </c>
      <c r="G108" s="64">
        <f t="shared" si="12"/>
        <v>21.319921579113604</v>
      </c>
      <c r="H108" s="63">
        <f t="shared" si="13"/>
        <v>26630.20000000004</v>
      </c>
      <c r="I108" s="63">
        <f t="shared" si="14"/>
        <v>505453.08999999997</v>
      </c>
      <c r="J108" s="100"/>
    </row>
    <row r="109" spans="1:9" s="142" customFormat="1" ht="37.5">
      <c r="A109" s="85" t="s">
        <v>50</v>
      </c>
      <c r="B109" s="150">
        <v>1816.7</v>
      </c>
      <c r="C109" s="135">
        <v>4983.7</v>
      </c>
      <c r="D109" s="86">
        <f>1.8+140.5+138.5+0.9+33+80.9+13.3+0.1+53.3+109+1.4+124.9+19.8+24.9+9+3.6+91.3+61.8+18.7+59+14.7</f>
        <v>1000.4</v>
      </c>
      <c r="E109" s="87">
        <f>D109/D108*100</f>
        <v>0.7304189102856623</v>
      </c>
      <c r="F109" s="87">
        <f t="shared" si="15"/>
        <v>55.06687950679804</v>
      </c>
      <c r="G109" s="87">
        <f t="shared" si="12"/>
        <v>20.0734394124847</v>
      </c>
      <c r="H109" s="88">
        <f t="shared" si="13"/>
        <v>816.3000000000001</v>
      </c>
      <c r="I109" s="88">
        <f t="shared" si="14"/>
        <v>3983.2999999999997</v>
      </c>
    </row>
    <row r="110" spans="1:9" s="142" customFormat="1" ht="18">
      <c r="A110" s="90" t="s">
        <v>23</v>
      </c>
      <c r="B110" s="91">
        <v>965.2</v>
      </c>
      <c r="C110" s="92">
        <v>2332.2</v>
      </c>
      <c r="D110" s="93">
        <f>2.4+138.5+0.9+33.1+80.9+53.3+1.8+1.1+124.9+24.9+6.2+38.5+59+14.7</f>
        <v>580.2</v>
      </c>
      <c r="E110" s="94">
        <f>D110/D109*100</f>
        <v>57.99680127948821</v>
      </c>
      <c r="F110" s="94">
        <f t="shared" si="15"/>
        <v>60.11189390799835</v>
      </c>
      <c r="G110" s="94">
        <f t="shared" si="12"/>
        <v>24.87779778749679</v>
      </c>
      <c r="H110" s="92">
        <f t="shared" si="13"/>
        <v>385</v>
      </c>
      <c r="I110" s="92">
        <f t="shared" si="14"/>
        <v>1751.9999999999998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3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100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3"/>
        <v>100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3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3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2055.9</v>
      </c>
      <c r="C115" s="88">
        <v>5785.2</v>
      </c>
      <c r="D115" s="86">
        <f>187.7+10.4+531.5+38.4+44.9+0.1+53.3+13.7+14.6+4.3+409.7+22.6+33.2+12.9</f>
        <v>1377.3</v>
      </c>
      <c r="E115" s="87">
        <f>D115/D108*100</f>
        <v>1.005603723646984</v>
      </c>
      <c r="F115" s="87">
        <f t="shared" si="15"/>
        <v>66.99255800379396</v>
      </c>
      <c r="G115" s="87">
        <f t="shared" si="12"/>
        <v>23.807301389753164</v>
      </c>
      <c r="H115" s="88">
        <f t="shared" si="13"/>
        <v>678.6000000000001</v>
      </c>
      <c r="I115" s="88">
        <f t="shared" si="14"/>
        <v>4407.9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3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3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3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405.7</v>
      </c>
      <c r="C120" s="96">
        <v>1024.8</v>
      </c>
      <c r="D120" s="86">
        <f>80.5+0.2+38.8+80.5+0.8+10+10.3+80.5+16.8+0.3</f>
        <v>318.70000000000005</v>
      </c>
      <c r="E120" s="87">
        <f>D120/D108*100</f>
        <v>0.23269143013598623</v>
      </c>
      <c r="F120" s="87">
        <f t="shared" si="15"/>
        <v>78.55558294306138</v>
      </c>
      <c r="G120" s="87">
        <f t="shared" si="12"/>
        <v>31.09875097580016</v>
      </c>
      <c r="H120" s="88">
        <f t="shared" si="13"/>
        <v>86.99999999999994</v>
      </c>
      <c r="I120" s="88">
        <f t="shared" si="14"/>
        <v>706.0999999999999</v>
      </c>
    </row>
    <row r="121" spans="1:9" s="101" customFormat="1" ht="18">
      <c r="A121" s="98" t="s">
        <v>41</v>
      </c>
      <c r="B121" s="91">
        <v>322.1</v>
      </c>
      <c r="C121" s="92">
        <v>724.7</v>
      </c>
      <c r="D121" s="93">
        <f>80.5+80.5+80.5</f>
        <v>241.5</v>
      </c>
      <c r="E121" s="94">
        <f>D121/D120*100</f>
        <v>75.77659240665201</v>
      </c>
      <c r="F121" s="94">
        <f t="shared" si="15"/>
        <v>74.97671530580564</v>
      </c>
      <c r="G121" s="94">
        <f t="shared" si="12"/>
        <v>33.324134124465296</v>
      </c>
      <c r="H121" s="92">
        <f t="shared" si="13"/>
        <v>80.60000000000002</v>
      </c>
      <c r="I121" s="92">
        <f t="shared" si="14"/>
        <v>483.20000000000005</v>
      </c>
    </row>
    <row r="122" spans="1:9" s="100" customFormat="1" ht="18.75">
      <c r="A122" s="95" t="s">
        <v>102</v>
      </c>
      <c r="B122" s="138">
        <v>80</v>
      </c>
      <c r="C122" s="96">
        <v>347</v>
      </c>
      <c r="D122" s="86">
        <f>34.5+13.8</f>
        <v>48.3</v>
      </c>
      <c r="E122" s="87">
        <f>D122/D108*100</f>
        <v>0.035265127315871135</v>
      </c>
      <c r="F122" s="87">
        <f t="shared" si="15"/>
        <v>60.375</v>
      </c>
      <c r="G122" s="87">
        <f t="shared" si="12"/>
        <v>13.919308357348703</v>
      </c>
      <c r="H122" s="88">
        <f t="shared" si="13"/>
        <v>31.700000000000003</v>
      </c>
      <c r="I122" s="88">
        <f t="shared" si="14"/>
        <v>298.7</v>
      </c>
    </row>
    <row r="123" spans="1:9" s="100" customFormat="1" ht="21.75" customHeight="1">
      <c r="A123" s="95" t="s">
        <v>92</v>
      </c>
      <c r="B123" s="138">
        <v>0</v>
      </c>
      <c r="C123" s="96">
        <f>86+920</f>
        <v>1006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3"/>
        <v>0</v>
      </c>
      <c r="I123" s="88">
        <f t="shared" si="14"/>
        <v>1006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3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v>8106.2</v>
      </c>
      <c r="C126" s="96">
        <f>6156.2+17413.4</f>
        <v>23569.600000000002</v>
      </c>
      <c r="D126" s="97">
        <f>871.9+408.1+585.9+900.5+901.8+879.7+893+994.8</f>
        <v>6435.7</v>
      </c>
      <c r="E126" s="99">
        <f>D126/D108*100</f>
        <v>4.6988774299534555</v>
      </c>
      <c r="F126" s="87">
        <f t="shared" si="15"/>
        <v>79.3923169919321</v>
      </c>
      <c r="G126" s="87">
        <f t="shared" si="12"/>
        <v>27.305087909849973</v>
      </c>
      <c r="H126" s="88">
        <f t="shared" si="13"/>
        <v>1670.5</v>
      </c>
      <c r="I126" s="88">
        <f t="shared" si="14"/>
        <v>17133.9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3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279</v>
      </c>
      <c r="C128" s="96">
        <v>483</v>
      </c>
      <c r="D128" s="97">
        <v>2.2</v>
      </c>
      <c r="E128" s="99">
        <f>D128/D108*100</f>
        <v>0.0016062790909920604</v>
      </c>
      <c r="F128" s="87">
        <f t="shared" si="15"/>
        <v>0.7885304659498209</v>
      </c>
      <c r="G128" s="87">
        <f t="shared" si="12"/>
        <v>0.45548654244306425</v>
      </c>
      <c r="H128" s="88">
        <f t="shared" si="13"/>
        <v>276.8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115.7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3"/>
        <v>115.7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3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263.3</v>
      </c>
      <c r="C131" s="96">
        <v>1003.9</v>
      </c>
      <c r="D131" s="97">
        <f>7.7+12.9+2.8+0.3+0.9+48+9.2+16+18.7+7+7.7+1.3</f>
        <v>132.5</v>
      </c>
      <c r="E131" s="99">
        <f>D131/D108*100</f>
        <v>0.09674180888929454</v>
      </c>
      <c r="F131" s="87">
        <f t="shared" si="15"/>
        <v>50.32282567413596</v>
      </c>
      <c r="G131" s="87">
        <f t="shared" si="12"/>
        <v>13.19852574957665</v>
      </c>
      <c r="H131" s="88">
        <f t="shared" si="13"/>
        <v>130.8</v>
      </c>
      <c r="I131" s="88">
        <f t="shared" si="14"/>
        <v>871.4</v>
      </c>
      <c r="M131" s="89"/>
    </row>
    <row r="132" spans="1:13" s="101" customFormat="1" ht="18">
      <c r="A132" s="90" t="s">
        <v>86</v>
      </c>
      <c r="B132" s="91">
        <v>90.4</v>
      </c>
      <c r="C132" s="92">
        <v>553.3</v>
      </c>
      <c r="D132" s="93">
        <f>7.7+48+7.7+7.7</f>
        <v>71.10000000000001</v>
      </c>
      <c r="E132" s="94">
        <f>D132/D131*100</f>
        <v>53.66037735849057</v>
      </c>
      <c r="F132" s="94">
        <f>D132/B132*100</f>
        <v>78.65044247787611</v>
      </c>
      <c r="G132" s="94">
        <f t="shared" si="12"/>
        <v>12.850171697090188</v>
      </c>
      <c r="H132" s="92">
        <f t="shared" si="13"/>
        <v>19.299999999999997</v>
      </c>
      <c r="I132" s="92">
        <f t="shared" si="14"/>
        <v>482.19999999999993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3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3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3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988.4</v>
      </c>
      <c r="C137" s="96">
        <v>2964.5</v>
      </c>
      <c r="D137" s="97">
        <v>203</v>
      </c>
      <c r="E137" s="99">
        <f>D137/D108*100</f>
        <v>0.14821575248699465</v>
      </c>
      <c r="F137" s="87">
        <f t="shared" si="15"/>
        <v>20.538243626062325</v>
      </c>
      <c r="G137" s="87">
        <f t="shared" si="12"/>
        <v>6.8476977567886665</v>
      </c>
      <c r="H137" s="88">
        <f t="shared" si="13"/>
        <v>785.4</v>
      </c>
      <c r="I137" s="88">
        <f t="shared" si="14"/>
        <v>2761.5</v>
      </c>
    </row>
    <row r="138" spans="1:9" s="100" customFormat="1" ht="39" customHeight="1">
      <c r="A138" s="95" t="s">
        <v>52</v>
      </c>
      <c r="B138" s="138">
        <v>70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3"/>
        <v>70</v>
      </c>
      <c r="I138" s="88">
        <f t="shared" si="14"/>
        <v>350</v>
      </c>
    </row>
    <row r="139" spans="1:9" s="101" customFormat="1" ht="18">
      <c r="A139" s="90" t="s">
        <v>86</v>
      </c>
      <c r="B139" s="91">
        <v>20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20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249.9</v>
      </c>
      <c r="C140" s="96">
        <v>642.9</v>
      </c>
      <c r="D140" s="97">
        <f>3.4+29.8+0.5+0.6+0.5+7+95+1</f>
        <v>137.8</v>
      </c>
      <c r="E140" s="99">
        <f>D140/D108*100</f>
        <v>0.10061148124486632</v>
      </c>
      <c r="F140" s="87">
        <f>D140/B140*100</f>
        <v>55.14205682272909</v>
      </c>
      <c r="G140" s="87">
        <f>D140/C140*100</f>
        <v>21.434126613781306</v>
      </c>
      <c r="H140" s="88">
        <f t="shared" si="13"/>
        <v>112.1</v>
      </c>
      <c r="I140" s="88">
        <f t="shared" si="14"/>
        <v>505.09999999999997</v>
      </c>
    </row>
    <row r="141" spans="1:9" s="101" customFormat="1" ht="18">
      <c r="A141" s="90" t="s">
        <v>23</v>
      </c>
      <c r="B141" s="91">
        <v>209.9</v>
      </c>
      <c r="C141" s="92">
        <v>524.9</v>
      </c>
      <c r="D141" s="93">
        <f>0.4+29.8+0.5+0.6+95+0.7</f>
        <v>127</v>
      </c>
      <c r="E141" s="94">
        <f>D141/D140*100</f>
        <v>92.16255442670537</v>
      </c>
      <c r="F141" s="94">
        <f t="shared" si="15"/>
        <v>60.5050023820867</v>
      </c>
      <c r="G141" s="94">
        <f>D141/C141*100</f>
        <v>24.195084778052962</v>
      </c>
      <c r="H141" s="92">
        <f t="shared" si="13"/>
        <v>82.9</v>
      </c>
      <c r="I141" s="92">
        <f t="shared" si="14"/>
        <v>397.9</v>
      </c>
    </row>
    <row r="142" spans="1:9" s="100" customFormat="1" ht="18.75">
      <c r="A142" s="95" t="s">
        <v>94</v>
      </c>
      <c r="B142" s="138">
        <v>719.3</v>
      </c>
      <c r="C142" s="96">
        <v>2262.8</v>
      </c>
      <c r="D142" s="97">
        <f>33.6+100.1+61.4+1.9+88.9+76.4+140.9+13.9+60.1</f>
        <v>577.1999999999999</v>
      </c>
      <c r="E142" s="99">
        <f>D142/D108*100</f>
        <v>0.4214292233275532</v>
      </c>
      <c r="F142" s="87">
        <f t="shared" si="15"/>
        <v>80.24468233004309</v>
      </c>
      <c r="G142" s="87">
        <f t="shared" si="12"/>
        <v>25.50821990454304</v>
      </c>
      <c r="H142" s="88">
        <f t="shared" si="13"/>
        <v>142.10000000000002</v>
      </c>
      <c r="I142" s="88">
        <f t="shared" si="14"/>
        <v>1685.6000000000004</v>
      </c>
    </row>
    <row r="143" spans="1:9" s="101" customFormat="1" ht="18">
      <c r="A143" s="98" t="s">
        <v>41</v>
      </c>
      <c r="B143" s="91">
        <v>543.5</v>
      </c>
      <c r="C143" s="92">
        <v>1867.4</v>
      </c>
      <c r="D143" s="93">
        <f>33.6+99.1+51.9+81.4+59+82.2+5.6+57.6</f>
        <v>470.40000000000003</v>
      </c>
      <c r="E143" s="94">
        <f>D143/D142*100</f>
        <v>81.49688149688151</v>
      </c>
      <c r="F143" s="94">
        <f t="shared" si="15"/>
        <v>86.55013799448022</v>
      </c>
      <c r="G143" s="94">
        <f t="shared" si="12"/>
        <v>25.19010388775838</v>
      </c>
      <c r="H143" s="92">
        <f t="shared" si="13"/>
        <v>73.09999999999997</v>
      </c>
      <c r="I143" s="92">
        <f t="shared" si="14"/>
        <v>1397</v>
      </c>
    </row>
    <row r="144" spans="1:9" s="101" customFormat="1" ht="18">
      <c r="A144" s="90" t="s">
        <v>23</v>
      </c>
      <c r="B144" s="91">
        <v>27.3</v>
      </c>
      <c r="C144" s="92">
        <v>48</v>
      </c>
      <c r="D144" s="93">
        <f>9.3+7.4+6+0.1</f>
        <v>22.800000000000004</v>
      </c>
      <c r="E144" s="94">
        <f>D144/D142*100</f>
        <v>3.950103950103951</v>
      </c>
      <c r="F144" s="94">
        <f t="shared" si="15"/>
        <v>83.51648351648353</v>
      </c>
      <c r="G144" s="94">
        <f>D144/C144*100</f>
        <v>47.50000000000001</v>
      </c>
      <c r="H144" s="92">
        <f t="shared" si="13"/>
        <v>4.4999999999999964</v>
      </c>
      <c r="I144" s="92">
        <f t="shared" si="14"/>
        <v>25.199999999999996</v>
      </c>
    </row>
    <row r="145" spans="1:9" s="100" customFormat="1" ht="33.75" customHeight="1">
      <c r="A145" s="103" t="s">
        <v>54</v>
      </c>
      <c r="B145" s="138">
        <v>563</v>
      </c>
      <c r="C145" s="96">
        <v>961</v>
      </c>
      <c r="D145" s="97"/>
      <c r="E145" s="99">
        <f>D145/D108*100</f>
        <v>0</v>
      </c>
      <c r="F145" s="87">
        <f t="shared" si="15"/>
        <v>0</v>
      </c>
      <c r="G145" s="87">
        <f t="shared" si="12"/>
        <v>0</v>
      </c>
      <c r="H145" s="88">
        <f t="shared" si="13"/>
        <v>563</v>
      </c>
      <c r="I145" s="88">
        <f t="shared" si="14"/>
        <v>961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3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f>46218.6+3000</f>
        <v>49218.6</v>
      </c>
      <c r="C147" s="96">
        <v>148561.8</v>
      </c>
      <c r="D147" s="97">
        <f>457.7+20.2+2395.4+103.8+376.7+1013.1+85.7+519.6+3989.1+192.1+9596.6+54.9+0.1+1136.8+45.8+142.4+633.4+904.4+5049.6+60.3+794.6+1729.3+2357+1916.4+610.8+432.8</f>
        <v>34618.600000000006</v>
      </c>
      <c r="E147" s="99">
        <f>D147/D108*100</f>
        <v>25.27596969973534</v>
      </c>
      <c r="F147" s="87">
        <f t="shared" si="15"/>
        <v>70.336417533209</v>
      </c>
      <c r="G147" s="87">
        <f t="shared" si="12"/>
        <v>23.30249094989426</v>
      </c>
      <c r="H147" s="88">
        <f t="shared" si="13"/>
        <v>14599.999999999993</v>
      </c>
      <c r="I147" s="88">
        <f t="shared" si="14"/>
        <v>113943.19999999998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5"/>
        <v>#DIV/0!</v>
      </c>
      <c r="G148" s="87" t="e">
        <f t="shared" si="12"/>
        <v>#DIV/0!</v>
      </c>
      <c r="H148" s="88">
        <f t="shared" si="13"/>
        <v>0</v>
      </c>
      <c r="I148" s="88">
        <f t="shared" si="14"/>
        <v>0</v>
      </c>
    </row>
    <row r="149" spans="1:9" s="100" customFormat="1" ht="18.75">
      <c r="A149" s="103" t="s">
        <v>108</v>
      </c>
      <c r="B149" s="138">
        <v>18</v>
      </c>
      <c r="C149" s="96">
        <v>50</v>
      </c>
      <c r="D149" s="97">
        <f>1+0.7+0.3</f>
        <v>2</v>
      </c>
      <c r="E149" s="99">
        <f>D149/D110*100</f>
        <v>0.34470872113064455</v>
      </c>
      <c r="F149" s="87">
        <f>D149/B149*100</f>
        <v>11.11111111111111</v>
      </c>
      <c r="G149" s="87">
        <f>D149/C149*100</f>
        <v>4</v>
      </c>
      <c r="H149" s="88">
        <f>B149-D149</f>
        <v>16</v>
      </c>
      <c r="I149" s="88">
        <f>C149-D149</f>
        <v>48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0.021538742356484442</v>
      </c>
      <c r="F150" s="87">
        <f t="shared" si="15"/>
        <v>100</v>
      </c>
      <c r="G150" s="87">
        <f t="shared" si="12"/>
        <v>31.416400425985085</v>
      </c>
      <c r="H150" s="88">
        <f t="shared" si="13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185.6+4770</f>
        <v>4955.6</v>
      </c>
      <c r="C151" s="96">
        <f>509.5+13731.5</f>
        <v>14241</v>
      </c>
      <c r="D151" s="97">
        <f>469.6+898.6+871.8+55</f>
        <v>2295</v>
      </c>
      <c r="E151" s="99">
        <f>D151/D108*100</f>
        <v>1.6756411426485356</v>
      </c>
      <c r="F151" s="87">
        <f t="shared" si="15"/>
        <v>46.311243845346674</v>
      </c>
      <c r="G151" s="87">
        <f t="shared" si="12"/>
        <v>16.11544133136718</v>
      </c>
      <c r="H151" s="88">
        <f t="shared" si="13"/>
        <v>2660.6000000000004</v>
      </c>
      <c r="I151" s="88">
        <f t="shared" si="14"/>
        <v>11946</v>
      </c>
    </row>
    <row r="152" spans="1:9" s="100" customFormat="1" ht="19.5" customHeight="1">
      <c r="A152" s="95" t="s">
        <v>48</v>
      </c>
      <c r="B152" s="138">
        <v>70916.3</v>
      </c>
      <c r="C152" s="96">
        <v>365455.19</v>
      </c>
      <c r="D152" s="97">
        <f>9702+30405.7+10266.3+91.6-29196.2+1482.1+9293.3+20631.5+2864.5+2072.8+10611.8+26.4-6447.8-3782.8-4677.3+4676.1-2746.7-2356.3-5820.8+6091.9+14434.9+3293.3-2161.9+2161.9</f>
        <v>70916.29999999997</v>
      </c>
      <c r="E152" s="99">
        <f>D152/D108*100</f>
        <v>51.77789540932737</v>
      </c>
      <c r="F152" s="87">
        <f t="shared" si="15"/>
        <v>99.99999999999996</v>
      </c>
      <c r="G152" s="87">
        <f t="shared" si="12"/>
        <v>19.40492348733643</v>
      </c>
      <c r="H152" s="88">
        <f t="shared" si="13"/>
        <v>0</v>
      </c>
      <c r="I152" s="88">
        <f>C152-D152</f>
        <v>294538.89</v>
      </c>
    </row>
    <row r="153" spans="1:9" s="100" customFormat="1" ht="18.75">
      <c r="A153" s="95" t="s">
        <v>97</v>
      </c>
      <c r="B153" s="138">
        <v>22641.6</v>
      </c>
      <c r="C153" s="96">
        <v>67925</v>
      </c>
      <c r="D153" s="97">
        <f>1886.8+1886.8+1886.8+1886.8+1886.8+1886.8+1886.8+1886.8+1886.8+1886.8</f>
        <v>18867.999999999996</v>
      </c>
      <c r="E153" s="99">
        <f>D153/D108*100</f>
        <v>13.77603358583554</v>
      </c>
      <c r="F153" s="87">
        <f t="shared" si="15"/>
        <v>83.33333333333333</v>
      </c>
      <c r="G153" s="87">
        <f t="shared" si="12"/>
        <v>27.777695988222302</v>
      </c>
      <c r="H153" s="88">
        <f t="shared" si="13"/>
        <v>3773.600000000002</v>
      </c>
      <c r="I153" s="88">
        <f t="shared" si="14"/>
        <v>49057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153317.89999999997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806271.1</v>
      </c>
      <c r="C155" s="36">
        <f>C6+C18+C33+C43+C52+C60+C70+C73+C78+C80+C88+C91+C96+C103+C108+C101+C85+C99+C46</f>
        <v>2503125.6900000004</v>
      </c>
      <c r="D155" s="36">
        <f>D6+D18+D33+D43+D52+D60+D70+D73+D78+D80+D88+D91+D96+D103+D108+D101+D85+D99+D46</f>
        <v>627053.9999999999</v>
      </c>
      <c r="E155" s="25">
        <v>100</v>
      </c>
      <c r="F155" s="3">
        <f>D155/B155*100</f>
        <v>77.77210419671496</v>
      </c>
      <c r="G155" s="3">
        <f aca="true" t="shared" si="16" ref="G155:G161">D155/C155*100</f>
        <v>25.050839536547592</v>
      </c>
      <c r="H155" s="36">
        <f>B155-D155</f>
        <v>179217.1000000001</v>
      </c>
      <c r="I155" s="36">
        <f aca="true" t="shared" si="17" ref="I155:I161">C155-D155</f>
        <v>1876071.6900000004</v>
      </c>
      <c r="K155" s="143">
        <f>D155-114199.9-202905.8-214631.3</f>
        <v>95316.99999999988</v>
      </c>
    </row>
    <row r="156" spans="1:9" ht="18.75">
      <c r="A156" s="15" t="s">
        <v>5</v>
      </c>
      <c r="B156" s="47">
        <f>B8+B20+B34+B53+B61+B92+B116+B121+B47+B143+B134+B104</f>
        <v>325444.10000000003</v>
      </c>
      <c r="C156" s="47">
        <f>C8+C20+C34+C53+C61+C92+C116+C121+C47+C143+C134+C104</f>
        <v>987414.6</v>
      </c>
      <c r="D156" s="47">
        <f>D8+D20+D34+D53+D61+D92+D116+D121+D47+D143+D134+D104</f>
        <v>267673.1</v>
      </c>
      <c r="E156" s="6">
        <f>D156/D155*100</f>
        <v>42.68740810201355</v>
      </c>
      <c r="F156" s="6">
        <f aca="true" t="shared" si="18" ref="F156:F161">D156/B156*100</f>
        <v>82.24856434638083</v>
      </c>
      <c r="G156" s="6">
        <f t="shared" si="16"/>
        <v>27.108481077755986</v>
      </c>
      <c r="H156" s="48">
        <f aca="true" t="shared" si="19" ref="H156:H161">B156-D156</f>
        <v>57771.00000000006</v>
      </c>
      <c r="I156" s="58">
        <f t="shared" si="17"/>
        <v>719741.5</v>
      </c>
    </row>
    <row r="157" spans="1:9" ht="18.75">
      <c r="A157" s="15" t="s">
        <v>0</v>
      </c>
      <c r="B157" s="88">
        <f>B11+B23+B36+B56+B63+B93+B50+B144+B110+B113+B97+B141+B130</f>
        <v>69720.59999999999</v>
      </c>
      <c r="C157" s="88">
        <f>C11+C23+C36+C56+C63+C93+C50+C144+C110+C113+C97+C141+C130</f>
        <v>125178.8</v>
      </c>
      <c r="D157" s="88">
        <f>D11+D23+D36+D56+D63+D93+D50+D144+D110+D113+D97+D141+D130</f>
        <v>47455.8</v>
      </c>
      <c r="E157" s="6">
        <f>D157/D155*100</f>
        <v>7.568056339645392</v>
      </c>
      <c r="F157" s="6">
        <f t="shared" si="18"/>
        <v>68.06567929708007</v>
      </c>
      <c r="G157" s="6">
        <f t="shared" si="16"/>
        <v>37.91041294532301</v>
      </c>
      <c r="H157" s="48">
        <f>B157-D157</f>
        <v>22264.79999999999</v>
      </c>
      <c r="I157" s="58">
        <f t="shared" si="17"/>
        <v>77723</v>
      </c>
    </row>
    <row r="158" spans="1:9" ht="18.75">
      <c r="A158" s="15" t="s">
        <v>1</v>
      </c>
      <c r="B158" s="149">
        <f>B22+B10+B55+B49+B62+B35+B125</f>
        <v>20597.8</v>
      </c>
      <c r="C158" s="149">
        <f>C22+C10+C55+C49+C62+C35+C125</f>
        <v>48385.3</v>
      </c>
      <c r="D158" s="149">
        <f>D22+D10+D55+D49+D62+D35+D125</f>
        <v>14889.399999999998</v>
      </c>
      <c r="E158" s="6">
        <f>D158/D155*100</f>
        <v>2.3745004417482387</v>
      </c>
      <c r="F158" s="6">
        <f t="shared" si="18"/>
        <v>72.28636067929584</v>
      </c>
      <c r="G158" s="6">
        <f t="shared" si="16"/>
        <v>30.772569354742036</v>
      </c>
      <c r="H158" s="48">
        <f t="shared" si="19"/>
        <v>5708.4000000000015</v>
      </c>
      <c r="I158" s="58">
        <f t="shared" si="17"/>
        <v>33495.90000000001</v>
      </c>
    </row>
    <row r="159" spans="1:9" ht="21" customHeight="1">
      <c r="A159" s="15" t="s">
        <v>12</v>
      </c>
      <c r="B159" s="149">
        <f>B12+B24+B105+B64+B38+B94+B132+B57+B139+B119+B44</f>
        <v>26584.600000000002</v>
      </c>
      <c r="C159" s="149">
        <f>C12+C24+C105+C64+C38+C94+C132+C57+C139+C119+C44</f>
        <v>89947.80000000002</v>
      </c>
      <c r="D159" s="149">
        <f>D12+D24+D105+D64+D38+D94+D132+D57+D139+D119+D44</f>
        <v>19500.9</v>
      </c>
      <c r="E159" s="6">
        <f>D159/D155*100</f>
        <v>3.1099235472543043</v>
      </c>
      <c r="F159" s="6">
        <f t="shared" si="18"/>
        <v>73.35412231141338</v>
      </c>
      <c r="G159" s="6">
        <f t="shared" si="16"/>
        <v>21.68024120656647</v>
      </c>
      <c r="H159" s="48">
        <f>B159-D159</f>
        <v>7083.700000000001</v>
      </c>
      <c r="I159" s="58">
        <f t="shared" si="17"/>
        <v>70446.90000000002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36.599999999999994</v>
      </c>
      <c r="E160" s="6">
        <f>D160/D155*100</f>
        <v>0.005836817881713537</v>
      </c>
      <c r="F160" s="6">
        <f t="shared" si="18"/>
        <v>69.58174904942965</v>
      </c>
      <c r="G160" s="6">
        <f t="shared" si="16"/>
        <v>29.78030919446704</v>
      </c>
      <c r="H160" s="48">
        <f t="shared" si="19"/>
        <v>16.000000000000007</v>
      </c>
      <c r="I160" s="58">
        <f t="shared" si="17"/>
        <v>86.30000000000001</v>
      </c>
    </row>
    <row r="161" spans="1:9" ht="19.5" thickBot="1">
      <c r="A161" s="80" t="s">
        <v>25</v>
      </c>
      <c r="B161" s="60">
        <f>B155-B156-B157-B158-B159-B160</f>
        <v>363871.4</v>
      </c>
      <c r="C161" s="60">
        <f>C155-C156-C157-C158-C159-C160</f>
        <v>1252076.2900000003</v>
      </c>
      <c r="D161" s="60">
        <f>D155-D156-D157-D158-D159-D160</f>
        <v>277498.1999999999</v>
      </c>
      <c r="E161" s="28">
        <f>D161/D155*100</f>
        <v>44.254274751456805</v>
      </c>
      <c r="F161" s="28">
        <f t="shared" si="18"/>
        <v>76.26271259571372</v>
      </c>
      <c r="G161" s="28">
        <f t="shared" si="16"/>
        <v>22.16304247722795</v>
      </c>
      <c r="H161" s="81">
        <f t="shared" si="19"/>
        <v>86373.20000000013</v>
      </c>
      <c r="I161" s="81">
        <f t="shared" si="17"/>
        <v>974578.0900000003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2503125.6900000004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627053.9999999999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2503125.6900000004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627053.9999999999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2019-04-12T11:30:50Z</cp:lastPrinted>
  <dcterms:created xsi:type="dcterms:W3CDTF">2000-06-20T04:48:00Z</dcterms:created>
  <dcterms:modified xsi:type="dcterms:W3CDTF">2019-04-12T11:31:47Z</dcterms:modified>
  <cp:category/>
  <cp:version/>
  <cp:contentType/>
  <cp:contentStatus/>
</cp:coreProperties>
</file>